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schuster\Documents\CLS\Scouts\2018 Sea Base\"/>
    </mc:Choice>
  </mc:AlternateContent>
  <xr:revisionPtr revIDLastSave="0" documentId="13_ncr:1_{A50A245B-75DE-437F-BBC8-637E9233E313}" xr6:coauthVersionLast="33" xr6:coauthVersionMax="33" xr10:uidLastSave="{00000000-0000-0000-0000-000000000000}"/>
  <bookViews>
    <workbookView xWindow="0" yWindow="0" windowWidth="25410" windowHeight="12495" xr2:uid="{00000000-000D-0000-FFFF-FFFF00000000}"/>
  </bookViews>
  <sheets>
    <sheet name="Roster" sheetId="1" r:id="rId1"/>
    <sheet name="Sheet2" sheetId="2" state="hidden" r:id="rId2"/>
  </sheets>
  <definedNames>
    <definedName name="_xlnm.Print_Area" localSheetId="0">Roster!$A$1:$K$94</definedName>
  </definedNames>
  <calcPr calcId="179017"/>
  <customWorkbookViews>
    <customWorkbookView name="Lindsey Smith - Personal View" guid="{2A9D4254-F5D6-4AB3-BF46-FDF61FAA28ED}" mergeInterval="0" personalView="1" maximized="1" xWindow="-8" yWindow="-8" windowWidth="1696" windowHeight="1026" activeSheetId="1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2" i="1" l="1"/>
  <c r="J92" i="1" s="1"/>
  <c r="A88" i="1"/>
  <c r="J88" i="1" s="1"/>
  <c r="A84" i="1"/>
  <c r="J84" i="1" s="1"/>
  <c r="A80" i="1"/>
  <c r="J80" i="1" s="1"/>
  <c r="A76" i="1"/>
  <c r="J76" i="1" s="1"/>
  <c r="A72" i="1"/>
  <c r="J72" i="1" s="1"/>
  <c r="A68" i="1"/>
  <c r="J68" i="1" s="1"/>
  <c r="A64" i="1"/>
  <c r="J64" i="1" s="1"/>
  <c r="A52" i="1" l="1"/>
  <c r="J52" i="1" s="1"/>
  <c r="A56" i="1"/>
  <c r="J56" i="1" s="1"/>
  <c r="A60" i="1"/>
  <c r="J60" i="1" s="1"/>
  <c r="A48" i="1"/>
  <c r="J48" i="1" s="1"/>
  <c r="B82" i="1" l="1"/>
  <c r="B80" i="1"/>
  <c r="G80" i="1"/>
  <c r="G82" i="1"/>
  <c r="B81" i="1"/>
  <c r="G81" i="1"/>
  <c r="G61" i="1"/>
  <c r="B60" i="1"/>
  <c r="B61" i="1"/>
  <c r="G60" i="1"/>
  <c r="B62" i="1"/>
  <c r="G62" i="1"/>
  <c r="G69" i="1"/>
  <c r="B68" i="1"/>
  <c r="B70" i="1"/>
  <c r="G70" i="1"/>
  <c r="G68" i="1"/>
  <c r="B69" i="1"/>
  <c r="G86" i="1"/>
  <c r="B85" i="1"/>
  <c r="G85" i="1"/>
  <c r="B84" i="1"/>
  <c r="B86" i="1"/>
  <c r="G84" i="1"/>
  <c r="B66" i="1"/>
  <c r="B64" i="1"/>
  <c r="G64" i="1"/>
  <c r="G66" i="1"/>
  <c r="B65" i="1"/>
  <c r="G65" i="1"/>
  <c r="G58" i="1"/>
  <c r="G56" i="1"/>
  <c r="B57" i="1"/>
  <c r="G57" i="1"/>
  <c r="B58" i="1"/>
  <c r="B56" i="1"/>
  <c r="G72" i="1"/>
  <c r="B74" i="1"/>
  <c r="G73" i="1"/>
  <c r="G74" i="1"/>
  <c r="B73" i="1"/>
  <c r="B72" i="1"/>
  <c r="G88" i="1"/>
  <c r="B90" i="1"/>
  <c r="G89" i="1"/>
  <c r="G90" i="1"/>
  <c r="B89" i="1"/>
  <c r="B88" i="1"/>
  <c r="B53" i="1"/>
  <c r="G54" i="1"/>
  <c r="G52" i="1"/>
  <c r="B52" i="1"/>
  <c r="G53" i="1"/>
  <c r="B54" i="1"/>
  <c r="G77" i="1"/>
  <c r="B76" i="1"/>
  <c r="G78" i="1"/>
  <c r="G76" i="1"/>
  <c r="B78" i="1"/>
  <c r="B77" i="1"/>
  <c r="G94" i="1"/>
  <c r="B93" i="1"/>
  <c r="G93" i="1"/>
  <c r="B92" i="1"/>
  <c r="G92" i="1"/>
  <c r="B94" i="1"/>
  <c r="G50" i="1"/>
  <c r="B50" i="1"/>
  <c r="G49" i="1"/>
  <c r="B49" i="1"/>
  <c r="G48" i="1"/>
  <c r="B48" i="1"/>
</calcChain>
</file>

<file path=xl/sharedStrings.xml><?xml version="1.0" encoding="utf-8"?>
<sst xmlns="http://schemas.openxmlformats.org/spreadsheetml/2006/main" count="135" uniqueCount="66">
  <si>
    <t>Crew #:</t>
  </si>
  <si>
    <t>Unit Type &amp; Number:</t>
  </si>
  <si>
    <t>prior to your arrival. This information is essential in the event of emergencies or storms.</t>
  </si>
  <si>
    <t xml:space="preserve">Scheduled Arrival Day/Date at Sea Base: </t>
  </si>
  <si>
    <t xml:space="preserve">Crew Location Night Before Arrival at Sea Base: </t>
  </si>
  <si>
    <t xml:space="preserve">Primary Adult Contact Name: </t>
  </si>
  <si>
    <t xml:space="preserve">Phone Number: </t>
  </si>
  <si>
    <t xml:space="preserve">Estimated Arrival Time at Sea Base: </t>
  </si>
  <si>
    <t xml:space="preserve">Name: </t>
  </si>
  <si>
    <t xml:space="preserve">DOB: </t>
  </si>
  <si>
    <t xml:space="preserve">Emergency Contact: </t>
  </si>
  <si>
    <t xml:space="preserve">Relationship: </t>
  </si>
  <si>
    <t>Home:</t>
  </si>
  <si>
    <t>Cell:</t>
  </si>
  <si>
    <t>:</t>
  </si>
  <si>
    <t>Scuba Live Aboard</t>
  </si>
  <si>
    <t>Crew Type:</t>
  </si>
  <si>
    <t>Coral Reef Sailing</t>
  </si>
  <si>
    <t>Out Island Adventure</t>
  </si>
  <si>
    <t>Fishing Adventure</t>
  </si>
  <si>
    <t>Keys Adventure</t>
  </si>
  <si>
    <t xml:space="preserve">Sea Exploring </t>
  </si>
  <si>
    <t>Scuba Adventure</t>
  </si>
  <si>
    <t>Scuba Certification</t>
  </si>
  <si>
    <t>Bahamas 6-8</t>
  </si>
  <si>
    <t>Bahamas 10-12</t>
  </si>
  <si>
    <t>STEM St. Thomas</t>
  </si>
  <si>
    <t>St. Thomas Virgin Islands</t>
  </si>
  <si>
    <t>STEM Eco Adventure (Islamorada, FL)</t>
  </si>
  <si>
    <t>Bahamas Tall Ship</t>
  </si>
  <si>
    <t>Marine STEM (Summerland Key, FL)</t>
  </si>
  <si>
    <t>Male</t>
  </si>
  <si>
    <t>Female</t>
  </si>
  <si>
    <t>Gender:</t>
  </si>
  <si>
    <t>Florida National High Adventure Sea Base Crew Roster</t>
  </si>
  <si>
    <r>
      <t>Total Number of Participants in</t>
    </r>
    <r>
      <rPr>
        <i/>
        <sz val="11"/>
        <color theme="1"/>
        <rFont val="Calibri"/>
        <family val="2"/>
        <scheme val="minor"/>
      </rPr>
      <t xml:space="preserve"> This </t>
    </r>
    <r>
      <rPr>
        <sz val="11"/>
        <color theme="1"/>
        <rFont val="Calibri"/>
        <family val="2"/>
        <scheme val="minor"/>
      </rPr>
      <t xml:space="preserve">Crew (including adults): </t>
    </r>
  </si>
  <si>
    <r>
      <t xml:space="preserve">It is imperative that this document be completed and returned to Sea Base at least </t>
    </r>
    <r>
      <rPr>
        <i/>
        <u/>
        <sz val="11"/>
        <color theme="1"/>
        <rFont val="Calibri"/>
        <family val="2"/>
        <scheme val="minor"/>
      </rPr>
      <t>30 days</t>
    </r>
  </si>
  <si>
    <t>OI062718A</t>
  </si>
  <si>
    <t xml:space="preserve"> Troop 38</t>
  </si>
  <si>
    <t>Camp Elmore ?</t>
  </si>
  <si>
    <t>Chad L. Schuster</t>
  </si>
  <si>
    <t>(585) 451-2261</t>
  </si>
  <si>
    <t>(585) 976-3942</t>
  </si>
  <si>
    <t>Wife</t>
  </si>
  <si>
    <t>Colleen Schuster</t>
  </si>
  <si>
    <t>(585) 335-5812</t>
  </si>
  <si>
    <t>Aaron Knapp</t>
  </si>
  <si>
    <t>Michelle Knapp</t>
  </si>
  <si>
    <t>(585) 335-8686</t>
  </si>
  <si>
    <t>(585) 490-2057</t>
  </si>
  <si>
    <t>Adam Schuster</t>
  </si>
  <si>
    <t>Mother</t>
  </si>
  <si>
    <t>Conner Knapp</t>
  </si>
  <si>
    <t>Ethan Hart</t>
  </si>
  <si>
    <t>(585) 669-2374</t>
  </si>
  <si>
    <t>Calen Holmes</t>
  </si>
  <si>
    <t xml:space="preserve"> Lou-Anne Holmes</t>
  </si>
  <si>
    <t>Erika Hart</t>
  </si>
  <si>
    <t>(585) 447-0143</t>
  </si>
  <si>
    <t>7 OR 8</t>
  </si>
  <si>
    <t>Jane &amp; Timothy Cochran</t>
  </si>
  <si>
    <t>Parents</t>
  </si>
  <si>
    <t>(607) 260-0183</t>
  </si>
  <si>
    <t>Silas B. Cochran</t>
  </si>
  <si>
    <t>n/a</t>
  </si>
  <si>
    <t>(607) 368-1832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</si>
</sst>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/>
    <xf numFmtId="0" fontId="6" fillId="0" borderId="0" xfId="0" applyFont="1"/>
    <xf numFmtId="0" fontId="1" fillId="0" borderId="1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16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15" fontId="1" fillId="0" borderId="1" xfId="0" applyNumberFormat="1" applyFont="1" applyBorder="1" applyAlignment="1" applyProtection="1">
      <alignment horizontal="left"/>
      <protection locked="0"/>
    </xf>
    <xf numFmtId="20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83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0</xdr:row>
      <xdr:rowOff>161924</xdr:rowOff>
    </xdr:from>
    <xdr:to>
      <xdr:col>10</xdr:col>
      <xdr:colOff>590524</xdr:colOff>
      <xdr:row>10</xdr:row>
      <xdr:rowOff>166585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5950" y="161924"/>
          <a:ext cx="1466824" cy="1985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98"/>
  <sheetViews>
    <sheetView showGridLines="0" showRowColHeaders="0" tabSelected="1" showRuler="0" view="pageBreakPreview" topLeftCell="A4" zoomScale="120" zoomScaleNormal="100" zoomScaleSheetLayoutView="120" workbookViewId="0">
      <selection activeCell="H40" sqref="H40:I40"/>
    </sheetView>
  </sheetViews>
  <sheetFormatPr defaultRowHeight="15" x14ac:dyDescent="0.25"/>
  <sheetData>
    <row r="1" spans="1:11" x14ac:dyDescent="0.25">
      <c r="A1" s="39" t="s">
        <v>34</v>
      </c>
      <c r="B1" s="39"/>
      <c r="C1" s="39"/>
      <c r="D1" s="39"/>
      <c r="E1" s="39"/>
      <c r="F1" s="39"/>
      <c r="G1" s="39"/>
      <c r="H1" s="39"/>
      <c r="I1" s="39"/>
    </row>
    <row r="2" spans="1:11" x14ac:dyDescent="0.25">
      <c r="A2" s="39"/>
      <c r="B2" s="39"/>
      <c r="C2" s="39"/>
      <c r="D2" s="39"/>
      <c r="E2" s="39"/>
      <c r="F2" s="39"/>
      <c r="G2" s="39"/>
      <c r="H2" s="39"/>
      <c r="I2" s="39"/>
    </row>
    <row r="3" spans="1:11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1"/>
      <c r="K3" s="1"/>
    </row>
    <row r="4" spans="1:11" ht="15.75" x14ac:dyDescent="0.25">
      <c r="A4" s="20" t="s">
        <v>0</v>
      </c>
      <c r="B4" s="22" t="s">
        <v>37</v>
      </c>
      <c r="C4" s="22"/>
      <c r="D4" s="22"/>
      <c r="E4" s="40" t="s">
        <v>1</v>
      </c>
      <c r="F4" s="40"/>
      <c r="G4" s="22" t="s">
        <v>38</v>
      </c>
      <c r="H4" s="22"/>
      <c r="I4" s="22"/>
      <c r="J4" s="1"/>
      <c r="K4" s="1"/>
    </row>
    <row r="5" spans="1:11" ht="15.75" x14ac:dyDescent="0.25">
      <c r="A5" s="9" t="s">
        <v>16</v>
      </c>
      <c r="B5" s="36" t="s">
        <v>18</v>
      </c>
      <c r="C5" s="37"/>
      <c r="D5" s="37"/>
      <c r="E5" s="37"/>
      <c r="F5" s="38"/>
      <c r="G5" s="4"/>
      <c r="H5" s="4"/>
      <c r="I5" s="4"/>
      <c r="J5" s="1"/>
      <c r="K5" s="1"/>
    </row>
    <row r="6" spans="1:11" ht="15.75" x14ac:dyDescent="0.25">
      <c r="A6" s="41" t="s">
        <v>3</v>
      </c>
      <c r="B6" s="41"/>
      <c r="C6" s="41"/>
      <c r="D6" s="41"/>
      <c r="E6" s="33">
        <v>43278</v>
      </c>
      <c r="F6" s="22"/>
      <c r="G6" s="22"/>
      <c r="H6" s="22"/>
      <c r="I6" s="22"/>
      <c r="J6" s="1"/>
      <c r="K6" s="1"/>
    </row>
    <row r="7" spans="1:11" ht="15.75" x14ac:dyDescent="0.25">
      <c r="A7" s="41" t="s">
        <v>35</v>
      </c>
      <c r="B7" s="41"/>
      <c r="C7" s="41"/>
      <c r="D7" s="41"/>
      <c r="E7" s="41"/>
      <c r="F7" s="41"/>
      <c r="G7" s="31" t="s">
        <v>59</v>
      </c>
      <c r="H7" s="32"/>
      <c r="I7" s="32"/>
      <c r="J7" s="1"/>
      <c r="K7" s="1"/>
    </row>
    <row r="8" spans="1:11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 x14ac:dyDescent="0.25">
      <c r="A9" s="21" t="s">
        <v>36</v>
      </c>
      <c r="B9" s="20"/>
      <c r="C9" s="20"/>
      <c r="D9" s="20"/>
      <c r="E9" s="20"/>
      <c r="F9" s="20"/>
      <c r="G9" s="20"/>
      <c r="H9" s="20"/>
      <c r="I9" s="20"/>
      <c r="J9" s="1"/>
      <c r="K9" s="1"/>
    </row>
    <row r="10" spans="1:11" ht="15.75" x14ac:dyDescent="0.25">
      <c r="A10" s="21" t="s">
        <v>2</v>
      </c>
      <c r="B10" s="20"/>
      <c r="C10" s="20"/>
      <c r="D10" s="20"/>
      <c r="E10" s="20"/>
      <c r="F10" s="20"/>
      <c r="G10" s="20"/>
      <c r="H10" s="20"/>
      <c r="I10" s="20"/>
      <c r="J10" s="1"/>
      <c r="K10" s="1"/>
    </row>
    <row r="11" spans="1:11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1" t="s">
        <v>4</v>
      </c>
      <c r="B12" s="1"/>
      <c r="C12" s="1"/>
      <c r="D12" s="1"/>
      <c r="E12" s="1"/>
      <c r="F12" s="22" t="s">
        <v>39</v>
      </c>
      <c r="G12" s="22"/>
      <c r="H12" s="22"/>
      <c r="I12" s="22"/>
      <c r="J12" s="22"/>
      <c r="K12" s="22"/>
    </row>
    <row r="13" spans="1:11" ht="15.75" x14ac:dyDescent="0.25">
      <c r="A13" s="1" t="s">
        <v>5</v>
      </c>
      <c r="B13" s="1"/>
      <c r="C13" s="1"/>
      <c r="D13" s="22" t="s">
        <v>40</v>
      </c>
      <c r="E13" s="22"/>
      <c r="F13" s="22"/>
      <c r="G13" s="1" t="s">
        <v>6</v>
      </c>
      <c r="H13" s="1"/>
      <c r="I13" s="29" t="s">
        <v>41</v>
      </c>
      <c r="J13" s="29"/>
      <c r="K13" s="29"/>
    </row>
    <row r="14" spans="1:11" ht="15.75" x14ac:dyDescent="0.25">
      <c r="A14" s="1" t="s">
        <v>7</v>
      </c>
      <c r="B14" s="1"/>
      <c r="C14" s="1"/>
      <c r="D14" s="1"/>
      <c r="E14" s="34">
        <v>4.1666666666666664E-2</v>
      </c>
      <c r="F14" s="22"/>
      <c r="G14" s="22"/>
      <c r="H14" s="22"/>
      <c r="I14" s="1"/>
      <c r="J14" s="1"/>
      <c r="K14" s="1"/>
    </row>
    <row r="15" spans="1:11" ht="15.75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.75" x14ac:dyDescent="0.25">
      <c r="A16" s="2">
        <v>1</v>
      </c>
      <c r="B16" s="5" t="s">
        <v>8</v>
      </c>
      <c r="C16" s="35" t="s">
        <v>40</v>
      </c>
      <c r="D16" s="35"/>
      <c r="E16" s="35"/>
      <c r="F16" s="35"/>
      <c r="G16" s="5" t="s">
        <v>9</v>
      </c>
      <c r="H16" s="30">
        <v>26454</v>
      </c>
      <c r="I16" s="30"/>
      <c r="J16" s="5" t="s">
        <v>33</v>
      </c>
      <c r="K16" s="10" t="s">
        <v>31</v>
      </c>
    </row>
    <row r="17" spans="1:11" ht="15.75" x14ac:dyDescent="0.25">
      <c r="A17" s="2"/>
      <c r="B17" s="5" t="s">
        <v>10</v>
      </c>
      <c r="C17" s="5"/>
      <c r="D17" s="29" t="s">
        <v>44</v>
      </c>
      <c r="E17" s="29"/>
      <c r="F17" s="29"/>
      <c r="G17" s="5" t="s">
        <v>11</v>
      </c>
      <c r="H17" s="5"/>
      <c r="I17" s="22" t="s">
        <v>43</v>
      </c>
      <c r="J17" s="22"/>
      <c r="K17" s="22"/>
    </row>
    <row r="18" spans="1:11" ht="15.75" x14ac:dyDescent="0.25">
      <c r="A18" s="2"/>
      <c r="B18" s="5" t="s">
        <v>12</v>
      </c>
      <c r="C18" s="22" t="s">
        <v>45</v>
      </c>
      <c r="D18" s="22"/>
      <c r="E18" s="22"/>
      <c r="F18" s="22"/>
      <c r="G18" s="5" t="s">
        <v>13</v>
      </c>
      <c r="H18" s="22" t="s">
        <v>42</v>
      </c>
      <c r="I18" s="22"/>
      <c r="J18" s="22"/>
      <c r="K18" s="22"/>
    </row>
    <row r="19" spans="1:11" ht="15.75" x14ac:dyDescent="0.2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7.25" customHeight="1" x14ac:dyDescent="0.25">
      <c r="A20" s="2">
        <v>2</v>
      </c>
      <c r="B20" s="5" t="s">
        <v>8</v>
      </c>
      <c r="C20" s="22" t="s">
        <v>46</v>
      </c>
      <c r="D20" s="22"/>
      <c r="E20" s="22"/>
      <c r="F20" s="22"/>
      <c r="G20" s="5" t="s">
        <v>9</v>
      </c>
      <c r="H20" s="30">
        <v>29412</v>
      </c>
      <c r="I20" s="30"/>
      <c r="J20" s="8" t="s">
        <v>33</v>
      </c>
      <c r="K20" s="11" t="s">
        <v>31</v>
      </c>
    </row>
    <row r="21" spans="1:11" ht="17.25" customHeight="1" x14ac:dyDescent="0.25">
      <c r="A21" s="2"/>
      <c r="B21" s="5" t="s">
        <v>10</v>
      </c>
      <c r="C21" s="5"/>
      <c r="D21" s="29" t="s">
        <v>47</v>
      </c>
      <c r="E21" s="29"/>
      <c r="F21" s="29"/>
      <c r="G21" s="5" t="s">
        <v>11</v>
      </c>
      <c r="H21" s="5"/>
      <c r="I21" s="22" t="s">
        <v>43</v>
      </c>
      <c r="J21" s="22"/>
      <c r="K21" s="22"/>
    </row>
    <row r="22" spans="1:11" ht="17.25" customHeight="1" x14ac:dyDescent="0.25">
      <c r="A22" s="2"/>
      <c r="B22" s="5" t="s">
        <v>12</v>
      </c>
      <c r="C22" s="22" t="s">
        <v>48</v>
      </c>
      <c r="D22" s="22"/>
      <c r="E22" s="22"/>
      <c r="F22" s="22"/>
      <c r="G22" s="5" t="s">
        <v>13</v>
      </c>
      <c r="H22" s="22" t="s">
        <v>49</v>
      </c>
      <c r="I22" s="22"/>
      <c r="J22" s="22"/>
      <c r="K22" s="22"/>
    </row>
    <row r="23" spans="1:11" ht="17.25" customHeight="1" x14ac:dyDescent="0.25">
      <c r="A23" s="2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7.25" customHeight="1" x14ac:dyDescent="0.25">
      <c r="A24" s="2">
        <v>3</v>
      </c>
      <c r="B24" s="5" t="s">
        <v>8</v>
      </c>
      <c r="C24" s="22" t="s">
        <v>50</v>
      </c>
      <c r="D24" s="22"/>
      <c r="E24" s="22"/>
      <c r="F24" s="22"/>
      <c r="G24" s="5" t="s">
        <v>9</v>
      </c>
      <c r="H24" s="30">
        <v>37957</v>
      </c>
      <c r="I24" s="30"/>
      <c r="J24" s="8" t="s">
        <v>33</v>
      </c>
      <c r="K24" s="11" t="s">
        <v>31</v>
      </c>
    </row>
    <row r="25" spans="1:11" ht="17.25" customHeight="1" x14ac:dyDescent="0.25">
      <c r="A25" s="2"/>
      <c r="B25" s="5" t="s">
        <v>10</v>
      </c>
      <c r="C25" s="5"/>
      <c r="D25" s="29" t="s">
        <v>44</v>
      </c>
      <c r="E25" s="29"/>
      <c r="F25" s="29"/>
      <c r="G25" s="5" t="s">
        <v>11</v>
      </c>
      <c r="H25" s="5"/>
      <c r="I25" s="22" t="s">
        <v>51</v>
      </c>
      <c r="J25" s="22"/>
      <c r="K25" s="22"/>
    </row>
    <row r="26" spans="1:11" ht="17.25" customHeight="1" x14ac:dyDescent="0.25">
      <c r="A26" s="2"/>
      <c r="B26" s="5" t="s">
        <v>12</v>
      </c>
      <c r="C26" s="22" t="s">
        <v>45</v>
      </c>
      <c r="D26" s="22"/>
      <c r="E26" s="22"/>
      <c r="F26" s="22"/>
      <c r="G26" s="5" t="s">
        <v>13</v>
      </c>
      <c r="H26" s="22" t="s">
        <v>42</v>
      </c>
      <c r="I26" s="22"/>
      <c r="J26" s="22"/>
      <c r="K26" s="22"/>
    </row>
    <row r="27" spans="1:11" ht="17.25" customHeight="1" x14ac:dyDescent="0.25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7.25" customHeight="1" x14ac:dyDescent="0.25">
      <c r="A28" s="2">
        <v>4</v>
      </c>
      <c r="B28" s="5" t="s">
        <v>8</v>
      </c>
      <c r="C28" s="22" t="s">
        <v>52</v>
      </c>
      <c r="D28" s="22"/>
      <c r="E28" s="22"/>
      <c r="F28" s="22"/>
      <c r="G28" s="5" t="s">
        <v>9</v>
      </c>
      <c r="H28" s="30">
        <v>38240</v>
      </c>
      <c r="I28" s="30"/>
      <c r="J28" s="7" t="s">
        <v>33</v>
      </c>
      <c r="K28" s="11" t="s">
        <v>31</v>
      </c>
    </row>
    <row r="29" spans="1:11" ht="17.25" customHeight="1" x14ac:dyDescent="0.25">
      <c r="A29" s="2"/>
      <c r="B29" s="5" t="s">
        <v>10</v>
      </c>
      <c r="C29" s="5"/>
      <c r="D29" s="29" t="s">
        <v>47</v>
      </c>
      <c r="E29" s="29"/>
      <c r="F29" s="29"/>
      <c r="G29" s="5" t="s">
        <v>11</v>
      </c>
      <c r="H29" s="5"/>
      <c r="I29" s="22" t="s">
        <v>51</v>
      </c>
      <c r="J29" s="22"/>
      <c r="K29" s="22"/>
    </row>
    <row r="30" spans="1:11" ht="17.25" customHeight="1" x14ac:dyDescent="0.25">
      <c r="A30" s="2"/>
      <c r="B30" s="5" t="s">
        <v>12</v>
      </c>
      <c r="C30" s="22" t="s">
        <v>48</v>
      </c>
      <c r="D30" s="22"/>
      <c r="E30" s="22"/>
      <c r="F30" s="22"/>
      <c r="G30" s="5" t="s">
        <v>13</v>
      </c>
      <c r="H30" s="22" t="s">
        <v>49</v>
      </c>
      <c r="I30" s="22"/>
      <c r="J30" s="22"/>
      <c r="K30" s="22"/>
    </row>
    <row r="31" spans="1:11" ht="17.25" customHeight="1" x14ac:dyDescent="0.25">
      <c r="A31" s="2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7.25" customHeight="1" x14ac:dyDescent="0.25">
      <c r="A32" s="2">
        <v>5</v>
      </c>
      <c r="B32" s="5" t="s">
        <v>8</v>
      </c>
      <c r="C32" s="22" t="s">
        <v>53</v>
      </c>
      <c r="D32" s="22"/>
      <c r="E32" s="22"/>
      <c r="F32" s="22"/>
      <c r="G32" s="5" t="s">
        <v>9</v>
      </c>
      <c r="H32" s="30">
        <v>36905</v>
      </c>
      <c r="I32" s="30"/>
      <c r="J32" s="8" t="s">
        <v>31</v>
      </c>
      <c r="K32" s="11" t="s">
        <v>31</v>
      </c>
    </row>
    <row r="33" spans="1:11" ht="17.25" customHeight="1" x14ac:dyDescent="0.25">
      <c r="A33" s="2"/>
      <c r="B33" s="5" t="s">
        <v>10</v>
      </c>
      <c r="C33" s="5"/>
      <c r="D33" s="29" t="s">
        <v>57</v>
      </c>
      <c r="E33" s="29"/>
      <c r="F33" s="29"/>
      <c r="G33" s="5" t="s">
        <v>11</v>
      </c>
      <c r="H33" s="5"/>
      <c r="I33" s="22" t="s">
        <v>51</v>
      </c>
      <c r="J33" s="22"/>
      <c r="K33" s="22"/>
    </row>
    <row r="34" spans="1:11" ht="17.25" customHeight="1" x14ac:dyDescent="0.25">
      <c r="A34" s="2"/>
      <c r="B34" s="5" t="s">
        <v>12</v>
      </c>
      <c r="C34" s="22" t="s">
        <v>54</v>
      </c>
      <c r="D34" s="22"/>
      <c r="E34" s="22"/>
      <c r="F34" s="22"/>
      <c r="G34" s="5" t="s">
        <v>13</v>
      </c>
      <c r="H34" s="22" t="s">
        <v>58</v>
      </c>
      <c r="I34" s="22"/>
      <c r="J34" s="22"/>
      <c r="K34" s="22"/>
    </row>
    <row r="35" spans="1:11" ht="17.25" customHeight="1" x14ac:dyDescent="0.25">
      <c r="A35" s="2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 customHeight="1" x14ac:dyDescent="0.25">
      <c r="A36" s="2">
        <v>6</v>
      </c>
      <c r="B36" s="5" t="s">
        <v>8</v>
      </c>
      <c r="C36" s="22" t="s">
        <v>63</v>
      </c>
      <c r="D36" s="22"/>
      <c r="E36" s="22"/>
      <c r="F36" s="22"/>
      <c r="G36" s="5" t="s">
        <v>9</v>
      </c>
      <c r="H36" s="30">
        <v>37235</v>
      </c>
      <c r="I36" s="30"/>
      <c r="J36" s="8" t="s">
        <v>33</v>
      </c>
      <c r="K36" s="11" t="s">
        <v>31</v>
      </c>
    </row>
    <row r="37" spans="1:11" ht="17.25" customHeight="1" x14ac:dyDescent="0.25">
      <c r="A37" s="2"/>
      <c r="B37" s="5" t="s">
        <v>10</v>
      </c>
      <c r="C37" s="5"/>
      <c r="D37" s="29" t="s">
        <v>60</v>
      </c>
      <c r="E37" s="29"/>
      <c r="F37" s="29"/>
      <c r="G37" s="5" t="s">
        <v>11</v>
      </c>
      <c r="H37" s="5"/>
      <c r="I37" s="22" t="s">
        <v>61</v>
      </c>
      <c r="J37" s="22"/>
      <c r="K37" s="22"/>
    </row>
    <row r="38" spans="1:11" ht="17.25" customHeight="1" x14ac:dyDescent="0.25">
      <c r="A38" s="2"/>
      <c r="B38" s="5" t="s">
        <v>12</v>
      </c>
      <c r="C38" s="22" t="s">
        <v>64</v>
      </c>
      <c r="D38" s="22"/>
      <c r="E38" s="22"/>
      <c r="F38" s="22"/>
      <c r="G38" s="5" t="s">
        <v>13</v>
      </c>
      <c r="H38" s="22" t="s">
        <v>62</v>
      </c>
      <c r="I38" s="22"/>
      <c r="J38" s="22"/>
      <c r="K38" s="22"/>
    </row>
    <row r="39" spans="1:11" ht="17.25" customHeight="1" x14ac:dyDescent="0.25">
      <c r="A39" s="2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7.25" customHeight="1" x14ac:dyDescent="0.25">
      <c r="A40" s="2">
        <v>7</v>
      </c>
      <c r="B40" s="5" t="s">
        <v>8</v>
      </c>
      <c r="C40" s="22" t="s">
        <v>55</v>
      </c>
      <c r="D40" s="22"/>
      <c r="E40" s="22"/>
      <c r="F40" s="22"/>
      <c r="G40" s="5" t="s">
        <v>9</v>
      </c>
      <c r="H40" s="30">
        <v>36799</v>
      </c>
      <c r="I40" s="30"/>
      <c r="J40" s="8" t="s">
        <v>33</v>
      </c>
      <c r="K40" s="11" t="s">
        <v>31</v>
      </c>
    </row>
    <row r="41" spans="1:11" ht="17.25" customHeight="1" x14ac:dyDescent="0.25">
      <c r="A41" s="2"/>
      <c r="B41" s="5" t="s">
        <v>10</v>
      </c>
      <c r="C41" s="5"/>
      <c r="D41" s="29" t="s">
        <v>56</v>
      </c>
      <c r="E41" s="29"/>
      <c r="F41" s="29"/>
      <c r="G41" s="5" t="s">
        <v>11</v>
      </c>
      <c r="H41" s="5"/>
      <c r="I41" s="22" t="s">
        <v>51</v>
      </c>
      <c r="J41" s="22"/>
      <c r="K41" s="22"/>
    </row>
    <row r="42" spans="1:11" ht="17.25" customHeight="1" x14ac:dyDescent="0.25">
      <c r="A42" s="2"/>
      <c r="B42" s="5" t="s">
        <v>12</v>
      </c>
      <c r="C42" s="22" t="s">
        <v>64</v>
      </c>
      <c r="D42" s="22"/>
      <c r="E42" s="22"/>
      <c r="F42" s="22"/>
      <c r="G42" s="5" t="s">
        <v>13</v>
      </c>
      <c r="H42" s="22" t="s">
        <v>65</v>
      </c>
      <c r="I42" s="22"/>
      <c r="J42" s="22"/>
      <c r="K42" s="22"/>
    </row>
    <row r="43" spans="1:11" ht="17.25" customHeight="1" x14ac:dyDescent="0.25">
      <c r="A43" s="2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7.25" customHeight="1" x14ac:dyDescent="0.25">
      <c r="A44" s="2">
        <v>8</v>
      </c>
      <c r="B44" s="5" t="s">
        <v>8</v>
      </c>
      <c r="C44" s="22"/>
      <c r="D44" s="22"/>
      <c r="E44" s="22"/>
      <c r="F44" s="22"/>
      <c r="G44" s="5" t="s">
        <v>9</v>
      </c>
      <c r="H44" s="30"/>
      <c r="I44" s="30"/>
      <c r="J44" s="8" t="s">
        <v>33</v>
      </c>
      <c r="K44" s="11"/>
    </row>
    <row r="45" spans="1:11" ht="17.25" customHeight="1" x14ac:dyDescent="0.25">
      <c r="A45" s="2"/>
      <c r="B45" s="5" t="s">
        <v>10</v>
      </c>
      <c r="C45" s="5"/>
      <c r="D45" s="29" t="s">
        <v>14</v>
      </c>
      <c r="E45" s="29"/>
      <c r="F45" s="29"/>
      <c r="G45" s="5" t="s">
        <v>11</v>
      </c>
      <c r="H45" s="5"/>
      <c r="I45" s="22"/>
      <c r="J45" s="22"/>
      <c r="K45" s="22"/>
    </row>
    <row r="46" spans="1:11" ht="17.25" customHeight="1" x14ac:dyDescent="0.25">
      <c r="A46" s="2"/>
      <c r="B46" s="5" t="s">
        <v>12</v>
      </c>
      <c r="C46" s="22"/>
      <c r="D46" s="22"/>
      <c r="E46" s="22"/>
      <c r="F46" s="22"/>
      <c r="G46" s="5" t="s">
        <v>13</v>
      </c>
      <c r="H46" s="22"/>
      <c r="I46" s="22"/>
      <c r="J46" s="22"/>
      <c r="K46" s="22"/>
    </row>
    <row r="47" spans="1:11" ht="17.25" customHeight="1" x14ac:dyDescent="0.25">
      <c r="A47" s="2"/>
      <c r="B47" s="5"/>
      <c r="C47" s="19"/>
      <c r="D47" s="19"/>
      <c r="E47" s="19"/>
      <c r="F47" s="19"/>
      <c r="G47" s="5"/>
      <c r="H47" s="19"/>
      <c r="I47" s="19"/>
      <c r="J47" s="19"/>
      <c r="K47" s="19"/>
    </row>
    <row r="48" spans="1:11" ht="15.75" x14ac:dyDescent="0.25">
      <c r="A48" s="2" t="str">
        <f>IF(B5="Sea Exploring",9,IF(B5="Bahamas 10-12",9,IF(B5="Bahamas Tall Ship",9,IF(B5="Scuba Live Aboard",9,IF(B5="STEM Eco Adventure",9,IF(B5="STEM St. Thomas",9,IF(B5="Bahamas 6-8","",IF(B5="Coral Reef Sailing","",IF(B5="Fishing Adventure","",IF(B5="Keys Adventure","",IF(B5="Marine STEM (Summerland Key, FL)","",IF(B5="Out Island Adventure","",IF(B5="Scuba Adventure","",IF(B5="Scuba Certification","",IF(B5="St. Thomas Virgin Islands","",IF(B5="","",9))))))))))))))))</f>
        <v/>
      </c>
      <c r="B48" s="12" t="str">
        <f>IF(A48=9,"Name:","")</f>
        <v/>
      </c>
      <c r="C48" s="24"/>
      <c r="D48" s="24"/>
      <c r="E48" s="24"/>
      <c r="F48" s="24"/>
      <c r="G48" s="6" t="str">
        <f>IF(A48=9,"DOB:","")</f>
        <v/>
      </c>
      <c r="H48" s="25"/>
      <c r="I48" s="25"/>
      <c r="J48" s="13" t="str">
        <f>IF(A48=9,"Gender:","")</f>
        <v/>
      </c>
      <c r="K48" s="14"/>
    </row>
    <row r="49" spans="1:11" ht="15.75" x14ac:dyDescent="0.25">
      <c r="A49" s="1"/>
      <c r="B49" s="12" t="str">
        <f>IF(A48=9,"Emergency Contact:","")</f>
        <v/>
      </c>
      <c r="C49" s="12"/>
      <c r="D49" s="28"/>
      <c r="E49" s="28"/>
      <c r="F49" s="28"/>
      <c r="G49" s="23" t="str">
        <f>IF(A48=9,"Relationship:","")</f>
        <v/>
      </c>
      <c r="H49" s="23"/>
      <c r="I49" s="28"/>
      <c r="J49" s="28"/>
      <c r="K49" s="28"/>
    </row>
    <row r="50" spans="1:11" ht="15.75" x14ac:dyDescent="0.25">
      <c r="A50" s="1"/>
      <c r="B50" s="5" t="str">
        <f>IF(A48=9,"Home:","")</f>
        <v/>
      </c>
      <c r="C50" s="28"/>
      <c r="D50" s="28"/>
      <c r="E50" s="28"/>
      <c r="F50" s="28"/>
      <c r="G50" s="15" t="str">
        <f>IF(A48=9,"Cell:","")</f>
        <v/>
      </c>
      <c r="H50" s="28"/>
      <c r="I50" s="28"/>
      <c r="J50" s="28"/>
      <c r="K50" s="28"/>
    </row>
    <row r="51" spans="1:11" ht="15.75" x14ac:dyDescent="0.25">
      <c r="A51" s="1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 x14ac:dyDescent="0.25">
      <c r="A52" s="2" t="str">
        <f>IF(B5="Sea Exploring",10,IF(B5="Bahamas 10-12",10,IF(B5="Bahamas Tall Ship",10,IF(B5="Scuba Live Aboard",10,IF(B5="STEM Eco Adventure",10,IF(B5="STEM St. Thomas",10,IF(B5="Bahamas 6-8","",IF(B5="Coral Reef Sailing","",IF(B5="Fishing Adventure","",IF(B5="Keys Adventure","",IF(B5="Marine STEM (Summerland Key, FL)","",IF(B5="Out Island Adventure","",IF(B5="Scuba Adventure","",IF(B5="Scuba Certification","",IF(B5="St. Thomas Virgin Islands","",IF(B5="","",10))))))))))))))))</f>
        <v/>
      </c>
      <c r="B52" s="16" t="str">
        <f>IF(A52=10,"Name:","")</f>
        <v/>
      </c>
      <c r="C52" s="26"/>
      <c r="D52" s="26"/>
      <c r="E52" s="26"/>
      <c r="F52" s="26"/>
      <c r="G52" s="16" t="str">
        <f>IF(A52=10,"DOB:","")</f>
        <v/>
      </c>
      <c r="H52" s="26"/>
      <c r="I52" s="26"/>
      <c r="J52" s="17" t="str">
        <f>IF(A52=10,"Gender:","")</f>
        <v/>
      </c>
      <c r="K52" s="18"/>
    </row>
    <row r="53" spans="1:11" ht="15.75" x14ac:dyDescent="0.25">
      <c r="A53" s="1"/>
      <c r="B53" s="16" t="str">
        <f>IF(A48=9,"Emergency Contact:","")</f>
        <v/>
      </c>
      <c r="C53" s="16"/>
      <c r="D53" s="26"/>
      <c r="E53" s="26"/>
      <c r="F53" s="26"/>
      <c r="G53" s="27" t="str">
        <f>IF(A52=10,"Relationship:","")</f>
        <v/>
      </c>
      <c r="H53" s="27"/>
      <c r="I53" s="26"/>
      <c r="J53" s="26"/>
      <c r="K53" s="26"/>
    </row>
    <row r="54" spans="1:11" ht="15.75" x14ac:dyDescent="0.25">
      <c r="A54" s="1"/>
      <c r="B54" s="16" t="str">
        <f>IF(A52=10,"Home:","")</f>
        <v/>
      </c>
      <c r="C54" s="26"/>
      <c r="D54" s="26"/>
      <c r="E54" s="26"/>
      <c r="F54" s="26"/>
      <c r="G54" s="16" t="str">
        <f>IF(A52=10,"Cell:","")</f>
        <v/>
      </c>
      <c r="H54" s="26"/>
      <c r="I54" s="26"/>
      <c r="J54" s="26"/>
      <c r="K54" s="26"/>
    </row>
    <row r="55" spans="1:11" ht="15.75" x14ac:dyDescent="0.25">
      <c r="A55" s="1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7.25" customHeight="1" x14ac:dyDescent="0.25">
      <c r="A56" s="2" t="str">
        <f>IF(B5="Sea Exploring",11,IF(B5="Bahamas 10-12",11,IF(B5="Bahamas Tall Ship",11,IF(B5="Scuba Live Aboard",11,IF(B5="STEM Eco Adventure",11,IF(B5="STEM St. Thomas",11,IF(B5="Bahamas 6-8","",IF(B5="Coral Reef Sailing","",IF(B5="Fishing Adventure","",IF(B5="Keys Adventure","",IF(B5="Marine STEM (Summerland Key, FL)","",IF(B5="Out Island Adventure","",IF(B5="Scuba Adventure","",IF(B5="Scuba Certification","",IF(B5="St. Thomas Virgin Islands","",IF(B5="","",11))))))))))))))))</f>
        <v/>
      </c>
      <c r="B56" s="16" t="str">
        <f>IF(A56=11,"Name:","")</f>
        <v/>
      </c>
      <c r="C56" s="26"/>
      <c r="D56" s="26"/>
      <c r="E56" s="26"/>
      <c r="F56" s="26"/>
      <c r="G56" s="16" t="str">
        <f>IF(A56=11,"DOB:","")</f>
        <v/>
      </c>
      <c r="H56" s="26"/>
      <c r="I56" s="26"/>
      <c r="J56" s="17" t="str">
        <f>IF(A56=11,"Gender:","")</f>
        <v/>
      </c>
      <c r="K56" s="18"/>
    </row>
    <row r="57" spans="1:11" ht="15.75" x14ac:dyDescent="0.25">
      <c r="A57" s="1"/>
      <c r="B57" s="16" t="str">
        <f>IF(A56=11,"Emergency Contact:","")</f>
        <v/>
      </c>
      <c r="C57" s="16"/>
      <c r="D57" s="26"/>
      <c r="E57" s="26"/>
      <c r="F57" s="26"/>
      <c r="G57" s="16" t="str">
        <f>IF(A56=11,"Relationship:","")</f>
        <v/>
      </c>
      <c r="H57" s="16"/>
      <c r="I57" s="26"/>
      <c r="J57" s="26"/>
      <c r="K57" s="26"/>
    </row>
    <row r="58" spans="1:11" ht="15.75" x14ac:dyDescent="0.25">
      <c r="A58" s="1"/>
      <c r="B58" s="16" t="str">
        <f>IF(A56=11,"Home:","")</f>
        <v/>
      </c>
      <c r="C58" s="26"/>
      <c r="D58" s="26"/>
      <c r="E58" s="26"/>
      <c r="F58" s="26"/>
      <c r="G58" s="16" t="str">
        <f>IF(A56=11,"Cell:","")</f>
        <v/>
      </c>
      <c r="H58" s="26"/>
      <c r="I58" s="26"/>
      <c r="J58" s="26"/>
      <c r="K58" s="26"/>
    </row>
    <row r="59" spans="1:11" ht="15.75" x14ac:dyDescent="0.25">
      <c r="A59" s="1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7.25" customHeight="1" x14ac:dyDescent="0.25">
      <c r="A60" s="2" t="str">
        <f>IF(B5="Sea Exploring",12,IF(B5="Bahamas 10-12",12,IF(B5="Bahamas Tall Ship",12,IF(B5="Scuba Live Aboard",12,IF(B5="STEM Eco Adventure",12,IF(B5="STEM St. Thomas",12,IF(B5="Bahamas 6-8","",IF(B5="Coral Reef Sailing","",IF(B5="Fishing Adventure","",IF(B5="Keys Adventure","",IF(B5="Marine STEM (Summerland Key, FL)","",IF(B5="Out Island Adventure","",IF(B5="Scuba Adventure","",IF(B5="Scuba Certification","",IF(B5="St. Thomas Virgin Islands","",IF(B5="","",12))))))))))))))))</f>
        <v/>
      </c>
      <c r="B60" s="16" t="str">
        <f>IF(A60=12,"Name:","")</f>
        <v/>
      </c>
      <c r="C60" s="26"/>
      <c r="D60" s="26"/>
      <c r="E60" s="26"/>
      <c r="F60" s="26"/>
      <c r="G60" s="16" t="str">
        <f>IF(A60=12,"DOB:","")</f>
        <v/>
      </c>
      <c r="H60" s="26"/>
      <c r="I60" s="26"/>
      <c r="J60" s="17" t="str">
        <f>IF(A60=12,"Gender:","")</f>
        <v/>
      </c>
      <c r="K60" s="18"/>
    </row>
    <row r="61" spans="1:11" ht="15.75" x14ac:dyDescent="0.25">
      <c r="A61" s="1"/>
      <c r="B61" s="16" t="str">
        <f>IF(A60=12,"Emergency Contact:","")</f>
        <v/>
      </c>
      <c r="C61" s="16"/>
      <c r="D61" s="26"/>
      <c r="E61" s="26"/>
      <c r="F61" s="26"/>
      <c r="G61" s="16" t="str">
        <f>IF(A60=12,"Relationship:","")</f>
        <v/>
      </c>
      <c r="H61" s="16"/>
      <c r="I61" s="26"/>
      <c r="J61" s="26"/>
      <c r="K61" s="26"/>
    </row>
    <row r="62" spans="1:11" ht="15.75" x14ac:dyDescent="0.25">
      <c r="A62" s="1"/>
      <c r="B62" s="16" t="str">
        <f>IF(A60=12,"Home:","")</f>
        <v/>
      </c>
      <c r="C62" s="26"/>
      <c r="D62" s="26"/>
      <c r="E62" s="26"/>
      <c r="F62" s="26"/>
      <c r="G62" s="16" t="str">
        <f>IF(A60=12,"Cell:","")</f>
        <v/>
      </c>
      <c r="H62" s="26"/>
      <c r="I62" s="26"/>
      <c r="J62" s="26"/>
      <c r="K62" s="26"/>
    </row>
    <row r="63" spans="1:11" ht="15.75" x14ac:dyDescent="0.25">
      <c r="A63" s="1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17.25" customHeight="1" x14ac:dyDescent="0.25">
      <c r="A64" s="2" t="str">
        <f>IF(B5="Sea Exploring",13,IF(B5="Bahamas 10-12","",IF(B5="Bahamas Tall Ship",13,IF(B5="Scuba Live Aboard","",IF(B5="STEM Eco Adventure (Islamorada, FL)","",IF(B5="STEM St. Thomas","",IF(B5="Bahamas 6-8","",IF(B5="Coral Reef Sailing","",IF(B5="Fishing Adventure","",IF(B5="Keys Adventure","",IF(B5="Marine STEM (Summerland Key, FL)","",IF(B5="Out Island Adventure","",IF(B5="Scuba Adventure","",IF(B5="Scuba Certification","",IF(B5="St. Thomas Virgin Islands","",IF(B5="","",13))))))))))))))))</f>
        <v/>
      </c>
      <c r="B64" s="16" t="str">
        <f>IF(A64=13,"Name:","")</f>
        <v/>
      </c>
      <c r="C64" s="26"/>
      <c r="D64" s="26"/>
      <c r="E64" s="26"/>
      <c r="F64" s="26"/>
      <c r="G64" s="16" t="str">
        <f>IF(A64=13,"DOB:","")</f>
        <v/>
      </c>
      <c r="H64" s="26"/>
      <c r="I64" s="26"/>
      <c r="J64" s="17" t="str">
        <f>IF(A64=13,"Gender:","")</f>
        <v/>
      </c>
      <c r="K64" s="18"/>
    </row>
    <row r="65" spans="1:11" ht="15.75" x14ac:dyDescent="0.25">
      <c r="A65" s="1"/>
      <c r="B65" s="16" t="str">
        <f>IF(A64=13,"Emergency Contact:","")</f>
        <v/>
      </c>
      <c r="C65" s="16"/>
      <c r="D65" s="26"/>
      <c r="E65" s="26"/>
      <c r="F65" s="26"/>
      <c r="G65" s="16" t="str">
        <f>IF(A64=13,"Relationship:","")</f>
        <v/>
      </c>
      <c r="H65" s="16"/>
      <c r="I65" s="26"/>
      <c r="J65" s="26"/>
      <c r="K65" s="26"/>
    </row>
    <row r="66" spans="1:11" ht="15.75" x14ac:dyDescent="0.25">
      <c r="A66" s="1"/>
      <c r="B66" s="16" t="str">
        <f>IF(A64=13,"Home:","")</f>
        <v/>
      </c>
      <c r="C66" s="26"/>
      <c r="D66" s="26"/>
      <c r="E66" s="26"/>
      <c r="F66" s="26"/>
      <c r="G66" s="16" t="str">
        <f>IF(A64=13,"Cell:","")</f>
        <v/>
      </c>
      <c r="H66" s="26"/>
      <c r="I66" s="26"/>
      <c r="J66" s="26"/>
      <c r="K66" s="26"/>
    </row>
    <row r="67" spans="1:11" ht="15.75" x14ac:dyDescent="0.25">
      <c r="A67" s="1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17.25" customHeight="1" x14ac:dyDescent="0.25">
      <c r="A68" s="2" t="str">
        <f>IF(B5="Sea Exploring",14,IF(B5="Bahamas 10-12","",IF(B5="Bahamas Tall Ship",14,IF(B5="Scuba Live Aboard","",IF(B5="STEM Eco Adventure (Islamorada, FL)","",IF(B5="STEM St. Thomas","",IF(B5="Bahamas 6-8","",IF(B5="Coral Reef Sailing","",IF(B5="Fishing Adventure","",IF(B5="Keys Adventure","",IF(B5="Marine STEM (Summerland Key, FL)","",IF(B5="Out Island Adventure","",IF(B5="Scuba Adventure","",IF(B5="Scuba Certification","",IF(B5="St. Thomas Virgin Islands","",IF(B5="","",14))))))))))))))))</f>
        <v/>
      </c>
      <c r="B68" s="16" t="str">
        <f>IF(A68=14,"Name:","")</f>
        <v/>
      </c>
      <c r="C68" s="26"/>
      <c r="D68" s="26"/>
      <c r="E68" s="26"/>
      <c r="F68" s="26"/>
      <c r="G68" s="16" t="str">
        <f>IF(A68=14,"DOB:","")</f>
        <v/>
      </c>
      <c r="H68" s="26"/>
      <c r="I68" s="26"/>
      <c r="J68" s="17" t="str">
        <f>IF(A68=14,"Gender:","")</f>
        <v/>
      </c>
      <c r="K68" s="18"/>
    </row>
    <row r="69" spans="1:11" ht="15.75" x14ac:dyDescent="0.25">
      <c r="A69" s="1"/>
      <c r="B69" s="16" t="str">
        <f>IF(A68=14,"Emergency Contact:","")</f>
        <v/>
      </c>
      <c r="C69" s="16"/>
      <c r="D69" s="26"/>
      <c r="E69" s="26"/>
      <c r="F69" s="26"/>
      <c r="G69" s="16" t="str">
        <f>IF(A68=14,"Relationship:","")</f>
        <v/>
      </c>
      <c r="H69" s="16"/>
      <c r="I69" s="26"/>
      <c r="J69" s="26"/>
      <c r="K69" s="26"/>
    </row>
    <row r="70" spans="1:11" ht="15.75" x14ac:dyDescent="0.25">
      <c r="A70" s="1"/>
      <c r="B70" s="16" t="str">
        <f>IF(A68=14,"Home:","")</f>
        <v/>
      </c>
      <c r="C70" s="26"/>
      <c r="D70" s="26"/>
      <c r="E70" s="26"/>
      <c r="F70" s="26"/>
      <c r="G70" s="16" t="str">
        <f>IF(A68=14,"Cell:","")</f>
        <v/>
      </c>
      <c r="H70" s="26"/>
      <c r="I70" s="26"/>
      <c r="J70" s="26"/>
      <c r="K70" s="26"/>
    </row>
    <row r="71" spans="1:11" ht="15.75" x14ac:dyDescent="0.25">
      <c r="A71" s="1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7.25" customHeight="1" x14ac:dyDescent="0.25">
      <c r="A72" s="2" t="str">
        <f>IF(B5="Sea Exploring",15,IF(B5="Bahamas 10-12","",IF(B5="Bahamas Tall Ship",15,IF(B5="Scuba Live Aboard","",IF(B5="STEM Eco Adventure (Islamorada, FL)","",IF(B5="STEM St. Thomas","",IF(B5="Bahamas 6-8","",IF(B5="Coral Reef Sailing","",IF(B5="Fishing Adventure","",IF(B5="Keys Adventure","",IF(B5="Marine STEM (Summerland Key, FL)","",IF(B5="Out Island Adventure","",IF(B5="Scuba Adventure","",IF(B5="Scuba Certification","",IF(B5="St. Thomas Virgin Islands","",IF(B5="","",15))))))))))))))))</f>
        <v/>
      </c>
      <c r="B72" s="16" t="str">
        <f>IF(A72=15,"Name:","")</f>
        <v/>
      </c>
      <c r="C72" s="26"/>
      <c r="D72" s="26"/>
      <c r="E72" s="26"/>
      <c r="F72" s="26"/>
      <c r="G72" s="16" t="str">
        <f>IF(A72=15,"DOB:","")</f>
        <v/>
      </c>
      <c r="H72" s="26"/>
      <c r="I72" s="26"/>
      <c r="J72" s="17" t="str">
        <f>IF(A72=15,"Gender:","")</f>
        <v/>
      </c>
      <c r="K72" s="18"/>
    </row>
    <row r="73" spans="1:11" ht="15.75" x14ac:dyDescent="0.25">
      <c r="A73" s="1"/>
      <c r="B73" s="16" t="str">
        <f>IF(A72=15,"Emergency Contact:","")</f>
        <v/>
      </c>
      <c r="C73" s="16"/>
      <c r="D73" s="26"/>
      <c r="E73" s="26"/>
      <c r="F73" s="26"/>
      <c r="G73" s="16" t="str">
        <f>IF(A72=15,"Relationship:","")</f>
        <v/>
      </c>
      <c r="H73" s="16"/>
      <c r="I73" s="26"/>
      <c r="J73" s="26"/>
      <c r="K73" s="26"/>
    </row>
    <row r="74" spans="1:11" ht="15.75" x14ac:dyDescent="0.25">
      <c r="A74" s="1"/>
      <c r="B74" s="16" t="str">
        <f>IF(A72=15,"Home:","")</f>
        <v/>
      </c>
      <c r="C74" s="26"/>
      <c r="D74" s="26"/>
      <c r="E74" s="26"/>
      <c r="F74" s="26"/>
      <c r="G74" s="16" t="str">
        <f>IF(A72=15,"Cell:","")</f>
        <v/>
      </c>
      <c r="H74" s="26"/>
      <c r="I74" s="26"/>
      <c r="J74" s="26"/>
      <c r="K74" s="26"/>
    </row>
    <row r="75" spans="1:11" ht="15.75" x14ac:dyDescent="0.25">
      <c r="A75" s="1"/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7.25" customHeight="1" x14ac:dyDescent="0.25">
      <c r="A76" s="2" t="str">
        <f>IF(B5="Sea Exploring",16,IF(B5="Bahamas 10-12","",IF(B5="Bahamas Tall Ship",16,IF(B5="Scuba Live Aboard","",IF(B5="STEM Eco Adventure (Islamorada, FL)","",IF(B5="STEM St. Thomas","",IF(B5="Bahamas 6-8","",IF(B5="Coral Reef Sailing","",IF(B5="Fishing Adventure","",IF(B5="Keys Adventure","",IF(B5="Marine STEM (Summerland Key, FL)","",IF(B5="Out Island Adventure","",IF(B5="Scuba Adventure","",IF(B5="Scuba Certification","",IF(B5="St. Thomas Virgin Islands","",IF(B5="","",16))))))))))))))))</f>
        <v/>
      </c>
      <c r="B76" s="16" t="str">
        <f>IF(A76=16,"Name:","")</f>
        <v/>
      </c>
      <c r="C76" s="26"/>
      <c r="D76" s="26"/>
      <c r="E76" s="26"/>
      <c r="F76" s="26"/>
      <c r="G76" s="16" t="str">
        <f>IF(A76=16,"DOB:","")</f>
        <v/>
      </c>
      <c r="H76" s="26"/>
      <c r="I76" s="26"/>
      <c r="J76" s="17" t="str">
        <f>IF(A76=16,"Gender:","")</f>
        <v/>
      </c>
      <c r="K76" s="18"/>
    </row>
    <row r="77" spans="1:11" ht="15.75" x14ac:dyDescent="0.25">
      <c r="A77" s="1"/>
      <c r="B77" s="16" t="str">
        <f>IF(A76=16,"Emergency Contact:","")</f>
        <v/>
      </c>
      <c r="C77" s="16"/>
      <c r="D77" s="26"/>
      <c r="E77" s="26"/>
      <c r="F77" s="26"/>
      <c r="G77" s="16" t="str">
        <f>IF(A76=16,"Relationship:","")</f>
        <v/>
      </c>
      <c r="H77" s="16"/>
      <c r="I77" s="26"/>
      <c r="J77" s="26"/>
      <c r="K77" s="26"/>
    </row>
    <row r="78" spans="1:11" ht="15.75" x14ac:dyDescent="0.25">
      <c r="A78" s="1"/>
      <c r="B78" s="16" t="str">
        <f>IF(A76=16,"Home:","")</f>
        <v/>
      </c>
      <c r="C78" s="26"/>
      <c r="D78" s="26"/>
      <c r="E78" s="26"/>
      <c r="F78" s="26"/>
      <c r="G78" s="16" t="str">
        <f>IF(A76=16,"Cell:","")</f>
        <v/>
      </c>
      <c r="H78" s="26"/>
      <c r="I78" s="26"/>
      <c r="J78" s="26"/>
      <c r="K78" s="26"/>
    </row>
    <row r="79" spans="1:11" ht="15.75" x14ac:dyDescent="0.25">
      <c r="A79" s="1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ht="17.25" customHeight="1" x14ac:dyDescent="0.25">
      <c r="A80" s="2" t="str">
        <f>IF(B5="Sea Exploring",17,IF(B5="Bahamas 10-12","",IF(B5="Bahamas Tall Ship",17,IF(B5="Scuba Live Aboard","",IF(B5="STEM Eco Adventure (Islamorada, FL)","",IF(B5="STEM St. Thomas","",IF(B5="Bahamas 6-8","",IF(B5="Coral Reef Sailing","",IF(B5="Fishing Adventure","",IF(B5="Keys Adventure","",IF(B5="Marine STEM (Summerland Key, FL)","",IF(B5="Out Island Adventure","",IF(B5="Scuba Adventure","",IF(B5="Scuba Certification","",IF(B5="St. Thomas Virgin Islands","",IF(B5="","",17))))))))))))))))</f>
        <v/>
      </c>
      <c r="B80" s="16" t="str">
        <f>IF(A80=17,"Name:","")</f>
        <v/>
      </c>
      <c r="C80" s="26"/>
      <c r="D80" s="26"/>
      <c r="E80" s="26"/>
      <c r="F80" s="26"/>
      <c r="G80" s="16" t="str">
        <f>IF(A80=17,"DOB:","")</f>
        <v/>
      </c>
      <c r="H80" s="26"/>
      <c r="I80" s="26"/>
      <c r="J80" s="17" t="str">
        <f>IF(A80=17,"Gender:","")</f>
        <v/>
      </c>
      <c r="K80" s="18"/>
    </row>
    <row r="81" spans="1:11" ht="15.75" x14ac:dyDescent="0.25">
      <c r="A81" s="1"/>
      <c r="B81" s="16" t="str">
        <f>IF(A80=17,"Emergency Contact:","")</f>
        <v/>
      </c>
      <c r="C81" s="16"/>
      <c r="D81" s="26"/>
      <c r="E81" s="26"/>
      <c r="F81" s="26"/>
      <c r="G81" s="16" t="str">
        <f>IF(A80=17,"Relationship:","")</f>
        <v/>
      </c>
      <c r="H81" s="16"/>
      <c r="I81" s="26"/>
      <c r="J81" s="26"/>
      <c r="K81" s="26"/>
    </row>
    <row r="82" spans="1:11" ht="15.75" x14ac:dyDescent="0.25">
      <c r="A82" s="1"/>
      <c r="B82" s="16" t="str">
        <f>IF(A80=17,"Home:","")</f>
        <v/>
      </c>
      <c r="C82" s="26"/>
      <c r="D82" s="26"/>
      <c r="E82" s="26"/>
      <c r="F82" s="26"/>
      <c r="G82" s="16" t="str">
        <f>IF(A80=17,"Cell:","")</f>
        <v/>
      </c>
      <c r="H82" s="26"/>
      <c r="I82" s="26"/>
      <c r="J82" s="26"/>
      <c r="K82" s="26"/>
    </row>
    <row r="83" spans="1:11" ht="15.75" x14ac:dyDescent="0.25">
      <c r="A83" s="1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17.25" customHeight="1" x14ac:dyDescent="0.25">
      <c r="A84" s="2" t="str">
        <f>IF(B5="Sea Exploring",18,IF(B5="Bahamas 10-12","",IF(B5="Bahamas Tall Ship",18,IF(B5="Scuba Live Aboard","",IF(B5="STEM Eco Adventure (Islamorada, FL)","",IF(B5="STEM St. Thomas","",IF(B5="Bahamas 6-8","",IF(B5="Coral Reef Sailing","",IF(B5="Fishing Adventure","",IF(B5="Keys Adventure","",IF(B5="Marine STEM (Summerland Key, FL)","",IF(B5="Out Island Adventure","",IF(B5="Scuba Adventure","",IF(B5="Scuba Certification","",IF(B5="St. Thomas Virgin Islands","",IF(B5="","",18))))))))))))))))</f>
        <v/>
      </c>
      <c r="B84" s="16" t="str">
        <f>IF(A84=18,"Name:","")</f>
        <v/>
      </c>
      <c r="C84" s="26"/>
      <c r="D84" s="26"/>
      <c r="E84" s="26"/>
      <c r="F84" s="26"/>
      <c r="G84" s="16" t="str">
        <f>IF(A84=18,"DOB:","")</f>
        <v/>
      </c>
      <c r="H84" s="26"/>
      <c r="I84" s="26"/>
      <c r="J84" s="17" t="str">
        <f>IF(A84=18,"Gender:","")</f>
        <v/>
      </c>
      <c r="K84" s="18"/>
    </row>
    <row r="85" spans="1:11" ht="15.75" x14ac:dyDescent="0.25">
      <c r="A85" s="1"/>
      <c r="B85" s="16" t="str">
        <f>IF(A84=18,"Emergency Contact:","")</f>
        <v/>
      </c>
      <c r="C85" s="16"/>
      <c r="D85" s="26"/>
      <c r="E85" s="26"/>
      <c r="F85" s="26"/>
      <c r="G85" s="16" t="str">
        <f>IF(A84=18,"Relationship:","")</f>
        <v/>
      </c>
      <c r="H85" s="16"/>
      <c r="I85" s="26"/>
      <c r="J85" s="26"/>
      <c r="K85" s="26"/>
    </row>
    <row r="86" spans="1:11" ht="15.75" x14ac:dyDescent="0.25">
      <c r="A86" s="1"/>
      <c r="B86" s="16" t="str">
        <f>IF(A84=18,"Home:","")</f>
        <v/>
      </c>
      <c r="C86" s="26"/>
      <c r="D86" s="26"/>
      <c r="E86" s="26"/>
      <c r="F86" s="26"/>
      <c r="G86" s="16" t="str">
        <f>IF(A84=18,"Cell:","")</f>
        <v/>
      </c>
      <c r="H86" s="26"/>
      <c r="I86" s="26"/>
      <c r="J86" s="26"/>
      <c r="K86" s="26"/>
    </row>
    <row r="87" spans="1:11" ht="15.75" x14ac:dyDescent="0.25">
      <c r="A87" s="1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ht="17.25" customHeight="1" x14ac:dyDescent="0.25">
      <c r="A88" s="2" t="str">
        <f>IF(B5="Sea Exploring",19,IF(B5="Bahamas 10-12","",IF(B5="Bahamas Tall Ship",19,IF(B5="Scuba Live Aboard","",IF(B5="STEM Eco Adventure (Islamorada, FL)","",IF(B5="STEM St. Thomas","",IF(B5="Bahamas 6-8","",IF(B5="Coral Reef Sailing","",IF(B5="Fishing Adventure","",IF(B5="Keys Adventure","",IF(B5="Marine STEM (Summerland Key, FL)","",IF(B5="Out Island Adventure","",IF(B5="Scuba Adventure","",IF(B5="Scuba Certification","",IF(B5="St. Thomas Virgin Islands","",IF(B5="","",19))))))))))))))))</f>
        <v/>
      </c>
      <c r="B88" s="16" t="str">
        <f>IF(A88=19,"Name:","")</f>
        <v/>
      </c>
      <c r="C88" s="26"/>
      <c r="D88" s="26"/>
      <c r="E88" s="26"/>
      <c r="F88" s="26"/>
      <c r="G88" s="16" t="str">
        <f>IF(A88=19,"DOB:","")</f>
        <v/>
      </c>
      <c r="H88" s="26"/>
      <c r="I88" s="26"/>
      <c r="J88" s="17" t="str">
        <f>IF(A88=19,"Gender:","")</f>
        <v/>
      </c>
      <c r="K88" s="18"/>
    </row>
    <row r="89" spans="1:11" ht="15.75" x14ac:dyDescent="0.25">
      <c r="A89" s="1"/>
      <c r="B89" s="16" t="str">
        <f>IF(A88=19,"Emergency Contact:","")</f>
        <v/>
      </c>
      <c r="C89" s="16"/>
      <c r="D89" s="26"/>
      <c r="E89" s="26"/>
      <c r="F89" s="26"/>
      <c r="G89" s="16" t="str">
        <f>IF(A88=19,"Relationship:","")</f>
        <v/>
      </c>
      <c r="H89" s="16"/>
      <c r="I89" s="26"/>
      <c r="J89" s="26"/>
      <c r="K89" s="26"/>
    </row>
    <row r="90" spans="1:11" ht="15.75" x14ac:dyDescent="0.25">
      <c r="A90" s="1"/>
      <c r="B90" s="16" t="str">
        <f>IF(A88=19,"Home:","")</f>
        <v/>
      </c>
      <c r="C90" s="26"/>
      <c r="D90" s="26"/>
      <c r="E90" s="26"/>
      <c r="F90" s="26"/>
      <c r="G90" s="16" t="str">
        <f>IF(A88=19,"Cell:","")</f>
        <v/>
      </c>
      <c r="H90" s="26"/>
      <c r="I90" s="26"/>
      <c r="J90" s="26"/>
      <c r="K90" s="26"/>
    </row>
    <row r="91" spans="1:11" ht="15.75" x14ac:dyDescent="0.25">
      <c r="A91" s="1"/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7.25" customHeight="1" x14ac:dyDescent="0.25">
      <c r="A92" s="2" t="str">
        <f>IF(B5="Sea Exploring",20,IF(B5="Bahamas 10-12","",IF(B5="Bahamas Tall Ship",20,IF(B5="Scuba Live Aboard","",IF(B5="STEM Eco Adventure (Islamorada, FL)","",IF(B5="STEM St. Thomas","",IF(B5="Bahamas 6-8","",IF(B5="Coral Reef Sailing","",IF(B5="Fishing Adventure","",IF(B5="Keys Adventure","",IF(B5="Marine STEM (Summerland Key, FL)","",IF(B5="Out Island Adventure","",IF(B5="Scuba Adventure","",IF(B5="Scuba Certification","",IF(B5="St. Thomas Virgin Islands","",IF(B5="","",20))))))))))))))))</f>
        <v/>
      </c>
      <c r="B92" s="16" t="str">
        <f>IF(A92=20,"Name:","")</f>
        <v/>
      </c>
      <c r="C92" s="26"/>
      <c r="D92" s="26"/>
      <c r="E92" s="26"/>
      <c r="F92" s="26"/>
      <c r="G92" s="16" t="str">
        <f>IF(A92=20,"DOB:","")</f>
        <v/>
      </c>
      <c r="H92" s="26"/>
      <c r="I92" s="26"/>
      <c r="J92" s="17" t="str">
        <f>IF(A92=20,"Gender:","")</f>
        <v/>
      </c>
      <c r="K92" s="18"/>
    </row>
    <row r="93" spans="1:11" ht="17.25" customHeight="1" x14ac:dyDescent="0.25">
      <c r="A93" s="1"/>
      <c r="B93" s="16" t="str">
        <f>IF(A92=20,"Emergency Contact:","")</f>
        <v/>
      </c>
      <c r="C93" s="16"/>
      <c r="D93" s="26"/>
      <c r="E93" s="26"/>
      <c r="F93" s="26"/>
      <c r="G93" s="16" t="str">
        <f>IF(A92=20,"Relationship:","")</f>
        <v/>
      </c>
      <c r="H93" s="16"/>
      <c r="I93" s="26"/>
      <c r="J93" s="26"/>
      <c r="K93" s="26"/>
    </row>
    <row r="94" spans="1:11" ht="17.25" customHeight="1" x14ac:dyDescent="0.25">
      <c r="A94" s="1"/>
      <c r="B94" s="16" t="str">
        <f>IF(A92=20,"Home:","")</f>
        <v/>
      </c>
      <c r="C94" s="26"/>
      <c r="D94" s="26"/>
      <c r="E94" s="26"/>
      <c r="F94" s="26"/>
      <c r="G94" s="16" t="str">
        <f>IF(A92=20,"Cell:","")</f>
        <v/>
      </c>
      <c r="H94" s="26"/>
      <c r="I94" s="26"/>
      <c r="J94" s="26"/>
      <c r="K94" s="26"/>
    </row>
    <row r="95" spans="1:11" ht="17.25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7.25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7.25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7.25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algorithmName="SHA-512" hashValue="5nJsVy7QlSDXlhSQ0faMsU0dn0Eosx2mGJQZdphJqsmmi0Yv/Kvdeit/wCa5a/vxvbsUu4qj7b2kUijRpVDLsA==" saltValue="nnhRZFLE9j4y5HXh6tP/bQ==" spinCount="100000" sheet="1" objects="1" scenarios="1" selectLockedCells="1"/>
  <customSheetViews>
    <customSheetView guid="{2A9D4254-F5D6-4AB3-BF46-FDF61FAA28ED}" showPageBreaks="1" showGridLines="0" showRowCol="0" view="pageLayout" showRuler="0">
      <selection activeCell="B4" sqref="B4:D4"/>
      <pageMargins left="0.2" right="0.25" top="0.25" bottom="0.25" header="0.3" footer="0.3"/>
      <pageSetup orientation="portrait" verticalDpi="0" r:id="rId1"/>
      <headerFooter>
        <oddHeader>&amp;L&amp;20Florida National High Adventure Sea Base Crew Roster</oddHeader>
      </headerFooter>
    </customSheetView>
  </customSheetViews>
  <mergeCells count="135">
    <mergeCell ref="A1:I3"/>
    <mergeCell ref="E4:F4"/>
    <mergeCell ref="A6:D6"/>
    <mergeCell ref="A7:F7"/>
    <mergeCell ref="C94:F94"/>
    <mergeCell ref="H88:I88"/>
    <mergeCell ref="I89:K89"/>
    <mergeCell ref="H90:K90"/>
    <mergeCell ref="H92:I92"/>
    <mergeCell ref="I93:K93"/>
    <mergeCell ref="H94:K94"/>
    <mergeCell ref="C88:F88"/>
    <mergeCell ref="D89:F89"/>
    <mergeCell ref="C90:F90"/>
    <mergeCell ref="C92:F92"/>
    <mergeCell ref="D93:F93"/>
    <mergeCell ref="C84:F84"/>
    <mergeCell ref="H84:I84"/>
    <mergeCell ref="I85:K85"/>
    <mergeCell ref="H86:K86"/>
    <mergeCell ref="C86:F86"/>
    <mergeCell ref="D85:F85"/>
    <mergeCell ref="C80:F80"/>
    <mergeCell ref="D81:F81"/>
    <mergeCell ref="C82:F82"/>
    <mergeCell ref="H80:I80"/>
    <mergeCell ref="I81:K81"/>
    <mergeCell ref="H82:K82"/>
    <mergeCell ref="C76:F76"/>
    <mergeCell ref="H76:I76"/>
    <mergeCell ref="D77:F77"/>
    <mergeCell ref="C78:F78"/>
    <mergeCell ref="I77:K77"/>
    <mergeCell ref="H78:K78"/>
    <mergeCell ref="C72:F72"/>
    <mergeCell ref="D73:F73"/>
    <mergeCell ref="C74:F74"/>
    <mergeCell ref="H72:I72"/>
    <mergeCell ref="I73:K73"/>
    <mergeCell ref="H74:K74"/>
    <mergeCell ref="C68:F68"/>
    <mergeCell ref="D69:F69"/>
    <mergeCell ref="C70:F70"/>
    <mergeCell ref="H68:I68"/>
    <mergeCell ref="I69:K69"/>
    <mergeCell ref="H70:K70"/>
    <mergeCell ref="C64:F64"/>
    <mergeCell ref="D65:F65"/>
    <mergeCell ref="C66:F66"/>
    <mergeCell ref="H64:I64"/>
    <mergeCell ref="I65:K65"/>
    <mergeCell ref="H66:K66"/>
    <mergeCell ref="C60:F60"/>
    <mergeCell ref="D61:F61"/>
    <mergeCell ref="C62:F62"/>
    <mergeCell ref="H60:I60"/>
    <mergeCell ref="I61:K61"/>
    <mergeCell ref="H62:K62"/>
    <mergeCell ref="C56:F56"/>
    <mergeCell ref="D57:F57"/>
    <mergeCell ref="C58:F58"/>
    <mergeCell ref="H56:I56"/>
    <mergeCell ref="I57:K57"/>
    <mergeCell ref="H58:K58"/>
    <mergeCell ref="C18:F18"/>
    <mergeCell ref="H18:K18"/>
    <mergeCell ref="B4:D4"/>
    <mergeCell ref="G4:I4"/>
    <mergeCell ref="G7:I7"/>
    <mergeCell ref="F12:K12"/>
    <mergeCell ref="D13:F13"/>
    <mergeCell ref="I13:K13"/>
    <mergeCell ref="E6:I6"/>
    <mergeCell ref="E14:H14"/>
    <mergeCell ref="C16:F16"/>
    <mergeCell ref="H16:I16"/>
    <mergeCell ref="D17:F17"/>
    <mergeCell ref="I17:K17"/>
    <mergeCell ref="B5:F5"/>
    <mergeCell ref="C20:F20"/>
    <mergeCell ref="H20:I20"/>
    <mergeCell ref="D21:F21"/>
    <mergeCell ref="I21:K21"/>
    <mergeCell ref="C22:F22"/>
    <mergeCell ref="H22:K22"/>
    <mergeCell ref="C24:F24"/>
    <mergeCell ref="H24:I24"/>
    <mergeCell ref="D25:F25"/>
    <mergeCell ref="I25:K25"/>
    <mergeCell ref="C26:F26"/>
    <mergeCell ref="H26:K26"/>
    <mergeCell ref="C28:F28"/>
    <mergeCell ref="H28:I28"/>
    <mergeCell ref="D29:F29"/>
    <mergeCell ref="I29:K29"/>
    <mergeCell ref="C30:F30"/>
    <mergeCell ref="H30:K30"/>
    <mergeCell ref="I37:K37"/>
    <mergeCell ref="C40:F40"/>
    <mergeCell ref="H40:I40"/>
    <mergeCell ref="C32:F32"/>
    <mergeCell ref="H32:I32"/>
    <mergeCell ref="D33:F33"/>
    <mergeCell ref="I33:K33"/>
    <mergeCell ref="C34:F34"/>
    <mergeCell ref="H34:K34"/>
    <mergeCell ref="C36:F36"/>
    <mergeCell ref="H36:I36"/>
    <mergeCell ref="D37:F37"/>
    <mergeCell ref="D41:F41"/>
    <mergeCell ref="I41:K41"/>
    <mergeCell ref="C42:F42"/>
    <mergeCell ref="H42:K42"/>
    <mergeCell ref="C44:F44"/>
    <mergeCell ref="H44:I44"/>
    <mergeCell ref="D45:F45"/>
    <mergeCell ref="I45:K45"/>
    <mergeCell ref="C38:F38"/>
    <mergeCell ref="H38:K38"/>
    <mergeCell ref="H46:K46"/>
    <mergeCell ref="G49:H49"/>
    <mergeCell ref="C48:F48"/>
    <mergeCell ref="H48:I48"/>
    <mergeCell ref="C54:F54"/>
    <mergeCell ref="H54:K54"/>
    <mergeCell ref="G53:H53"/>
    <mergeCell ref="H52:I52"/>
    <mergeCell ref="D53:F53"/>
    <mergeCell ref="I53:K53"/>
    <mergeCell ref="C52:F52"/>
    <mergeCell ref="C50:F50"/>
    <mergeCell ref="H50:K50"/>
    <mergeCell ref="D49:F49"/>
    <mergeCell ref="I49:K49"/>
    <mergeCell ref="C46:F46"/>
  </mergeCells>
  <conditionalFormatting sqref="C48:F48">
    <cfRule type="expression" dxfId="82" priority="84">
      <formula>$A$48</formula>
    </cfRule>
  </conditionalFormatting>
  <conditionalFormatting sqref="D49:F49">
    <cfRule type="expression" dxfId="81" priority="83">
      <formula>$A$48</formula>
    </cfRule>
  </conditionalFormatting>
  <conditionalFormatting sqref="C50:F50">
    <cfRule type="expression" dxfId="80" priority="82">
      <formula>$A$48</formula>
    </cfRule>
  </conditionalFormatting>
  <conditionalFormatting sqref="H48:I48">
    <cfRule type="expression" dxfId="79" priority="81">
      <formula>$A$48</formula>
    </cfRule>
  </conditionalFormatting>
  <conditionalFormatting sqref="I49:K49">
    <cfRule type="expression" dxfId="78" priority="80">
      <formula>$A$48</formula>
    </cfRule>
  </conditionalFormatting>
  <conditionalFormatting sqref="H50:K50">
    <cfRule type="expression" dxfId="77" priority="79">
      <formula>$A$48</formula>
    </cfRule>
  </conditionalFormatting>
  <conditionalFormatting sqref="C52:F52">
    <cfRule type="expression" dxfId="76" priority="78">
      <formula>$A$52</formula>
    </cfRule>
  </conditionalFormatting>
  <conditionalFormatting sqref="D53:F53">
    <cfRule type="expression" dxfId="75" priority="77">
      <formula>$A$52</formula>
    </cfRule>
  </conditionalFormatting>
  <conditionalFormatting sqref="C54:F54">
    <cfRule type="expression" dxfId="74" priority="76">
      <formula>$A$52</formula>
    </cfRule>
  </conditionalFormatting>
  <conditionalFormatting sqref="H54:K54">
    <cfRule type="expression" dxfId="73" priority="75">
      <formula>$A$52</formula>
    </cfRule>
  </conditionalFormatting>
  <conditionalFormatting sqref="I53:K53">
    <cfRule type="expression" dxfId="72" priority="74">
      <formula>$A$52</formula>
    </cfRule>
  </conditionalFormatting>
  <conditionalFormatting sqref="H52:I52">
    <cfRule type="expression" dxfId="71" priority="73">
      <formula>$A$52</formula>
    </cfRule>
  </conditionalFormatting>
  <conditionalFormatting sqref="C56:F56">
    <cfRule type="expression" dxfId="70" priority="72">
      <formula>$A$56</formula>
    </cfRule>
  </conditionalFormatting>
  <conditionalFormatting sqref="D57:F57">
    <cfRule type="expression" dxfId="69" priority="71">
      <formula>$A$56</formula>
    </cfRule>
  </conditionalFormatting>
  <conditionalFormatting sqref="C58:F58">
    <cfRule type="expression" dxfId="68" priority="70">
      <formula>$A$56</formula>
    </cfRule>
  </conditionalFormatting>
  <conditionalFormatting sqref="H56:I56">
    <cfRule type="expression" dxfId="67" priority="69">
      <formula>$A$56</formula>
    </cfRule>
  </conditionalFormatting>
  <conditionalFormatting sqref="I57:K57">
    <cfRule type="expression" dxfId="66" priority="68">
      <formula>$A$56</formula>
    </cfRule>
  </conditionalFormatting>
  <conditionalFormatting sqref="H58:K58">
    <cfRule type="expression" dxfId="65" priority="67">
      <formula>$A$56</formula>
    </cfRule>
  </conditionalFormatting>
  <conditionalFormatting sqref="C60:F60">
    <cfRule type="expression" dxfId="64" priority="66">
      <formula>$A$60</formula>
    </cfRule>
  </conditionalFormatting>
  <conditionalFormatting sqref="H60:I60">
    <cfRule type="expression" dxfId="63" priority="65">
      <formula>$A$60</formula>
    </cfRule>
  </conditionalFormatting>
  <conditionalFormatting sqref="I61:K61">
    <cfRule type="expression" dxfId="62" priority="64">
      <formula>$A$60</formula>
    </cfRule>
  </conditionalFormatting>
  <conditionalFormatting sqref="D61:F61">
    <cfRule type="expression" dxfId="61" priority="63">
      <formula>$A$60</formula>
    </cfRule>
  </conditionalFormatting>
  <conditionalFormatting sqref="C62:F62">
    <cfRule type="expression" dxfId="60" priority="62">
      <formula>$A$60</formula>
    </cfRule>
  </conditionalFormatting>
  <conditionalFormatting sqref="H62:K62">
    <cfRule type="expression" dxfId="59" priority="61">
      <formula>$A$60</formula>
    </cfRule>
  </conditionalFormatting>
  <conditionalFormatting sqref="C64:F64">
    <cfRule type="expression" dxfId="58" priority="60">
      <formula>$A$64</formula>
    </cfRule>
  </conditionalFormatting>
  <conditionalFormatting sqref="D65:F65">
    <cfRule type="expression" dxfId="57" priority="59">
      <formula>$A$64</formula>
    </cfRule>
  </conditionalFormatting>
  <conditionalFormatting sqref="C66:F66">
    <cfRule type="expression" dxfId="56" priority="58">
      <formula>$A$64</formula>
    </cfRule>
  </conditionalFormatting>
  <conditionalFormatting sqref="H64:I64">
    <cfRule type="expression" dxfId="55" priority="57">
      <formula>$A$64</formula>
    </cfRule>
  </conditionalFormatting>
  <conditionalFormatting sqref="I65:K65">
    <cfRule type="expression" dxfId="54" priority="56">
      <formula>$A$64</formula>
    </cfRule>
  </conditionalFormatting>
  <conditionalFormatting sqref="H66:K66">
    <cfRule type="expression" dxfId="53" priority="55">
      <formula>$A$64</formula>
    </cfRule>
  </conditionalFormatting>
  <conditionalFormatting sqref="C68:F68">
    <cfRule type="expression" dxfId="52" priority="54">
      <formula>$A$68</formula>
    </cfRule>
  </conditionalFormatting>
  <conditionalFormatting sqref="D69:F69">
    <cfRule type="expression" dxfId="51" priority="53">
      <formula>$A$68</formula>
    </cfRule>
  </conditionalFormatting>
  <conditionalFormatting sqref="C70:F70">
    <cfRule type="expression" dxfId="50" priority="52">
      <formula>$A$68</formula>
    </cfRule>
  </conditionalFormatting>
  <conditionalFormatting sqref="H68:I68">
    <cfRule type="expression" dxfId="49" priority="51">
      <formula>$A$68</formula>
    </cfRule>
  </conditionalFormatting>
  <conditionalFormatting sqref="I69:K69">
    <cfRule type="expression" dxfId="48" priority="50">
      <formula>$A$68</formula>
    </cfRule>
  </conditionalFormatting>
  <conditionalFormatting sqref="H70:K70">
    <cfRule type="expression" dxfId="47" priority="49">
      <formula>$A$68</formula>
    </cfRule>
  </conditionalFormatting>
  <conditionalFormatting sqref="C72:F72">
    <cfRule type="expression" dxfId="46" priority="48">
      <formula>$A$72</formula>
    </cfRule>
  </conditionalFormatting>
  <conditionalFormatting sqref="D73:F73">
    <cfRule type="expression" dxfId="45" priority="47">
      <formula>$A$72</formula>
    </cfRule>
  </conditionalFormatting>
  <conditionalFormatting sqref="C74:F74">
    <cfRule type="expression" dxfId="44" priority="46">
      <formula>$A$72</formula>
    </cfRule>
  </conditionalFormatting>
  <conditionalFormatting sqref="H72:I72">
    <cfRule type="expression" dxfId="43" priority="45">
      <formula>$A$72</formula>
    </cfRule>
  </conditionalFormatting>
  <conditionalFormatting sqref="I73:K73">
    <cfRule type="expression" dxfId="42" priority="43">
      <formula>$A$72</formula>
    </cfRule>
    <cfRule type="expression" priority="44">
      <formula>$A$72</formula>
    </cfRule>
  </conditionalFormatting>
  <conditionalFormatting sqref="H74:K74">
    <cfRule type="expression" dxfId="41" priority="42">
      <formula>$A$72</formula>
    </cfRule>
  </conditionalFormatting>
  <conditionalFormatting sqref="C76:F76">
    <cfRule type="expression" dxfId="40" priority="41">
      <formula>$A$76</formula>
    </cfRule>
  </conditionalFormatting>
  <conditionalFormatting sqref="D77:F77">
    <cfRule type="expression" dxfId="39" priority="40">
      <formula>$A$76</formula>
    </cfRule>
  </conditionalFormatting>
  <conditionalFormatting sqref="C78:F78">
    <cfRule type="expression" dxfId="38" priority="39">
      <formula>$A$76</formula>
    </cfRule>
  </conditionalFormatting>
  <conditionalFormatting sqref="H76:I76">
    <cfRule type="expression" dxfId="37" priority="38">
      <formula>$A$76</formula>
    </cfRule>
  </conditionalFormatting>
  <conditionalFormatting sqref="I77:K77">
    <cfRule type="expression" dxfId="36" priority="37">
      <formula>$A$76</formula>
    </cfRule>
  </conditionalFormatting>
  <conditionalFormatting sqref="H78:K78">
    <cfRule type="expression" dxfId="35" priority="36">
      <formula>$A$76</formula>
    </cfRule>
  </conditionalFormatting>
  <conditionalFormatting sqref="C80:F80">
    <cfRule type="expression" dxfId="34" priority="35">
      <formula>$A$80</formula>
    </cfRule>
  </conditionalFormatting>
  <conditionalFormatting sqref="H80:I80">
    <cfRule type="expression" dxfId="33" priority="34">
      <formula>$A$80</formula>
    </cfRule>
  </conditionalFormatting>
  <conditionalFormatting sqref="I81:K81">
    <cfRule type="expression" dxfId="32" priority="33">
      <formula>$A$80</formula>
    </cfRule>
  </conditionalFormatting>
  <conditionalFormatting sqref="H82:K82">
    <cfRule type="expression" dxfId="31" priority="32">
      <formula>$A$80</formula>
    </cfRule>
  </conditionalFormatting>
  <conditionalFormatting sqref="C82:F82">
    <cfRule type="expression" dxfId="30" priority="31">
      <formula>$A$80</formula>
    </cfRule>
  </conditionalFormatting>
  <conditionalFormatting sqref="C84:F84">
    <cfRule type="expression" dxfId="29" priority="30">
      <formula>$A$84</formula>
    </cfRule>
  </conditionalFormatting>
  <conditionalFormatting sqref="D85:F85">
    <cfRule type="expression" dxfId="28" priority="29">
      <formula>$A$84</formula>
    </cfRule>
  </conditionalFormatting>
  <conditionalFormatting sqref="C86:F86">
    <cfRule type="expression" dxfId="27" priority="28">
      <formula>$A$84</formula>
    </cfRule>
  </conditionalFormatting>
  <conditionalFormatting sqref="H84:I84">
    <cfRule type="expression" dxfId="26" priority="27">
      <formula>$A$84</formula>
    </cfRule>
  </conditionalFormatting>
  <conditionalFormatting sqref="I85:K85">
    <cfRule type="expression" dxfId="25" priority="26">
      <formula>$A$84</formula>
    </cfRule>
  </conditionalFormatting>
  <conditionalFormatting sqref="H86:K86">
    <cfRule type="expression" dxfId="24" priority="25">
      <formula>$A$84</formula>
    </cfRule>
  </conditionalFormatting>
  <conditionalFormatting sqref="C88:F88">
    <cfRule type="expression" dxfId="23" priority="24">
      <formula>$A$88</formula>
    </cfRule>
  </conditionalFormatting>
  <conditionalFormatting sqref="D89:F89">
    <cfRule type="expression" dxfId="22" priority="23">
      <formula>$A$88</formula>
    </cfRule>
  </conditionalFormatting>
  <conditionalFormatting sqref="C90:F90">
    <cfRule type="expression" dxfId="21" priority="22">
      <formula>$A$88</formula>
    </cfRule>
  </conditionalFormatting>
  <conditionalFormatting sqref="H88:I88">
    <cfRule type="expression" dxfId="20" priority="21">
      <formula>$A$88</formula>
    </cfRule>
  </conditionalFormatting>
  <conditionalFormatting sqref="I89:K89">
    <cfRule type="expression" dxfId="19" priority="20">
      <formula>$A$88</formula>
    </cfRule>
  </conditionalFormatting>
  <conditionalFormatting sqref="H90:K90">
    <cfRule type="expression" dxfId="18" priority="19">
      <formula>$A$88</formula>
    </cfRule>
  </conditionalFormatting>
  <conditionalFormatting sqref="C92:F92">
    <cfRule type="expression" dxfId="17" priority="18">
      <formula>$A$92</formula>
    </cfRule>
  </conditionalFormatting>
  <conditionalFormatting sqref="D93:F93">
    <cfRule type="expression" dxfId="16" priority="17">
      <formula>$A$92</formula>
    </cfRule>
  </conditionalFormatting>
  <conditionalFormatting sqref="C94:F94">
    <cfRule type="expression" dxfId="15" priority="16">
      <formula>$A$92</formula>
    </cfRule>
  </conditionalFormatting>
  <conditionalFormatting sqref="H92:I92">
    <cfRule type="expression" dxfId="14" priority="15">
      <formula>$A$92</formula>
    </cfRule>
  </conditionalFormatting>
  <conditionalFormatting sqref="I93:K93">
    <cfRule type="expression" dxfId="13" priority="14">
      <formula>$A$92</formula>
    </cfRule>
  </conditionalFormatting>
  <conditionalFormatting sqref="H94:K94">
    <cfRule type="expression" dxfId="12" priority="13">
      <formula>$A$92</formula>
    </cfRule>
  </conditionalFormatting>
  <conditionalFormatting sqref="K48">
    <cfRule type="expression" dxfId="11" priority="12">
      <formula>$A$48</formula>
    </cfRule>
  </conditionalFormatting>
  <conditionalFormatting sqref="K52">
    <cfRule type="expression" dxfId="10" priority="11">
      <formula>$A$52</formula>
    </cfRule>
  </conditionalFormatting>
  <conditionalFormatting sqref="K56">
    <cfRule type="expression" dxfId="9" priority="10">
      <formula>$A$56</formula>
    </cfRule>
  </conditionalFormatting>
  <conditionalFormatting sqref="K60">
    <cfRule type="expression" dxfId="8" priority="9">
      <formula>$A$60</formula>
    </cfRule>
  </conditionalFormatting>
  <conditionalFormatting sqref="K64">
    <cfRule type="expression" dxfId="7" priority="8">
      <formula>$A$64</formula>
    </cfRule>
  </conditionalFormatting>
  <conditionalFormatting sqref="K68">
    <cfRule type="expression" dxfId="6" priority="7">
      <formula>$A$68</formula>
    </cfRule>
  </conditionalFormatting>
  <conditionalFormatting sqref="K72">
    <cfRule type="expression" dxfId="5" priority="6">
      <formula>$A$72</formula>
    </cfRule>
  </conditionalFormatting>
  <conditionalFormatting sqref="K76">
    <cfRule type="expression" dxfId="4" priority="5">
      <formula>$A$76</formula>
    </cfRule>
  </conditionalFormatting>
  <conditionalFormatting sqref="K80">
    <cfRule type="expression" dxfId="3" priority="4">
      <formula>$A$80</formula>
    </cfRule>
  </conditionalFormatting>
  <conditionalFormatting sqref="K84">
    <cfRule type="expression" dxfId="2" priority="3">
      <formula>$A$84</formula>
    </cfRule>
  </conditionalFormatting>
  <conditionalFormatting sqref="K88">
    <cfRule type="expression" dxfId="1" priority="2">
      <formula>$A$88</formula>
    </cfRule>
  </conditionalFormatting>
  <conditionalFormatting sqref="K92">
    <cfRule type="expression" dxfId="0" priority="1">
      <formula>$A$92</formula>
    </cfRule>
  </conditionalFormatting>
  <dataValidations count="1">
    <dataValidation allowBlank="1" showInputMessage="1" showErrorMessage="1" promptTitle="Crew Type" sqref="B4:D4" xr:uid="{00000000-0002-0000-0000-000000000000}"/>
  </dataValidations>
  <pageMargins left="0.2" right="0.25" top="0.25" bottom="0.25" header="0.3" footer="0.3"/>
  <pageSetup orientation="portrait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rew Type" xr:uid="{00000000-0002-0000-0000-000001000000}">
          <x14:formula1>
            <xm:f>Sheet2!$A$1:$A$16</xm:f>
          </x14:formula1>
          <xm:sqref>B5:F5</xm:sqref>
        </x14:dataValidation>
        <x14:dataValidation type="list" allowBlank="1" showInputMessage="1" showErrorMessage="1" xr:uid="{00000000-0002-0000-0000-000002000000}">
          <x14:formula1>
            <xm:f>Sheet2!$A$18:$A$20</xm:f>
          </x14:formula1>
          <xm:sqref>K16 K48 K52 K56 K60 K64 K68 K72 K76 K80 K84 K88 K92 K20 K24 K28 K32 K36 K40 K44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A20"/>
  <sheetViews>
    <sheetView workbookViewId="0">
      <selection activeCell="A18" sqref="A18:A20"/>
    </sheetView>
  </sheetViews>
  <sheetFormatPr defaultRowHeight="15" x14ac:dyDescent="0.25"/>
  <sheetData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29</v>
      </c>
    </row>
    <row r="5" spans="1:1" x14ac:dyDescent="0.25">
      <c r="A5" t="s">
        <v>17</v>
      </c>
    </row>
    <row r="6" spans="1:1" x14ac:dyDescent="0.25">
      <c r="A6" t="s">
        <v>19</v>
      </c>
    </row>
    <row r="7" spans="1:1" x14ac:dyDescent="0.25">
      <c r="A7" t="s">
        <v>20</v>
      </c>
    </row>
    <row r="8" spans="1:1" x14ac:dyDescent="0.25">
      <c r="A8" t="s">
        <v>30</v>
      </c>
    </row>
    <row r="9" spans="1:1" x14ac:dyDescent="0.25">
      <c r="A9" t="s">
        <v>18</v>
      </c>
    </row>
    <row r="10" spans="1:1" x14ac:dyDescent="0.25">
      <c r="A10" t="s">
        <v>22</v>
      </c>
    </row>
    <row r="11" spans="1:1" x14ac:dyDescent="0.25">
      <c r="A11" t="s">
        <v>23</v>
      </c>
    </row>
    <row r="12" spans="1:1" x14ac:dyDescent="0.25">
      <c r="A12" t="s">
        <v>15</v>
      </c>
    </row>
    <row r="13" spans="1:1" x14ac:dyDescent="0.25">
      <c r="A13" t="s">
        <v>21</v>
      </c>
    </row>
    <row r="14" spans="1:1" x14ac:dyDescent="0.25">
      <c r="A14" t="s">
        <v>28</v>
      </c>
    </row>
    <row r="15" spans="1:1" x14ac:dyDescent="0.25">
      <c r="A15" t="s">
        <v>27</v>
      </c>
    </row>
    <row r="16" spans="1:1" x14ac:dyDescent="0.25">
      <c r="A16" t="s">
        <v>26</v>
      </c>
    </row>
    <row r="19" spans="1:1" x14ac:dyDescent="0.25">
      <c r="A19" t="s">
        <v>31</v>
      </c>
    </row>
    <row r="20" spans="1:1" x14ac:dyDescent="0.25">
      <c r="A20" t="s">
        <v>32</v>
      </c>
    </row>
  </sheetData>
  <sortState ref="A2:A17">
    <sortCondition ref="A2"/>
  </sortState>
  <customSheetViews>
    <customSheetView guid="{2A9D4254-F5D6-4AB3-BF46-FDF61FAA28ED}" state="hidden">
      <selection activeCell="H10" sqref="H10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Roster</vt:lpstr>
      <vt:lpstr>Sheet2</vt:lpstr>
      <vt:lpstr>Roster!Print_Area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Smith</dc:creator>
  <cp:lastModifiedBy>Chad L. Schuster</cp:lastModifiedBy>
  <cp:lastPrinted>2017-12-20T19:18:03Z</cp:lastPrinted>
  <dcterms:created xsi:type="dcterms:W3CDTF">2017-12-13T14:35:36Z</dcterms:created>
  <dcterms:modified xsi:type="dcterms:W3CDTF">2018-06-06T20:42:35Z</dcterms:modified>
</cp:coreProperties>
</file>